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s\Malden 2025\"/>
    </mc:Choice>
  </mc:AlternateContent>
  <xr:revisionPtr revIDLastSave="0" documentId="8_{32D476A7-1C1B-4621-B3A8-058450DF0823}" xr6:coauthVersionLast="47" xr6:coauthVersionMax="47" xr10:uidLastSave="{00000000-0000-0000-0000-000000000000}"/>
  <bookViews>
    <workbookView xWindow="-28920" yWindow="-120" windowWidth="29040" windowHeight="15720" xr2:uid="{8F0700DB-DC9C-47B3-8292-FF005F030C0A}"/>
  </bookViews>
  <sheets>
    <sheet name="Water Bills" sheetId="1" r:id="rId1"/>
  </sheets>
  <externalReferences>
    <externalReference r:id="rId2"/>
  </externalReferences>
  <definedNames>
    <definedName name="daypct">[1]calcmisc!$E$16</definedName>
    <definedName name="scadmin">[1]calcmisc!$E$29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4" i="1" l="1"/>
  <c r="O24" i="1"/>
  <c r="N24" i="1"/>
  <c r="M24" i="1"/>
  <c r="L24" i="1"/>
  <c r="K24" i="1"/>
  <c r="J24" i="1"/>
  <c r="I24" i="1"/>
  <c r="H24" i="1"/>
  <c r="G24" i="1"/>
  <c r="F24" i="1"/>
  <c r="E24" i="1"/>
  <c r="D24" i="1"/>
  <c r="P23" i="1"/>
  <c r="O22" i="1"/>
  <c r="N22" i="1"/>
  <c r="M22" i="1"/>
  <c r="L22" i="1"/>
  <c r="K22" i="1"/>
  <c r="J22" i="1"/>
  <c r="I22" i="1"/>
  <c r="H22" i="1"/>
  <c r="G22" i="1"/>
  <c r="F22" i="1"/>
  <c r="E22" i="1"/>
  <c r="D22" i="1"/>
  <c r="P22" i="1" s="1"/>
  <c r="O21" i="1"/>
  <c r="N21" i="1"/>
  <c r="M21" i="1"/>
  <c r="L21" i="1"/>
  <c r="K21" i="1"/>
  <c r="J21" i="1"/>
  <c r="I21" i="1"/>
  <c r="H21" i="1"/>
  <c r="G21" i="1"/>
  <c r="F21" i="1"/>
  <c r="E21" i="1"/>
  <c r="D21" i="1"/>
  <c r="P21" i="1" s="1"/>
  <c r="O20" i="1"/>
  <c r="N20" i="1"/>
  <c r="M20" i="1"/>
  <c r="L20" i="1"/>
  <c r="K20" i="1"/>
  <c r="J20" i="1"/>
  <c r="I20" i="1"/>
  <c r="H20" i="1"/>
  <c r="G20" i="1"/>
  <c r="F20" i="1"/>
  <c r="E20" i="1"/>
  <c r="D20" i="1"/>
  <c r="P20" i="1" s="1"/>
  <c r="P19" i="1"/>
  <c r="O18" i="1"/>
  <c r="N18" i="1"/>
  <c r="M18" i="1"/>
  <c r="L18" i="1"/>
  <c r="K18" i="1"/>
  <c r="J18" i="1"/>
  <c r="I18" i="1"/>
  <c r="H18" i="1"/>
  <c r="G18" i="1"/>
  <c r="F18" i="1"/>
  <c r="E18" i="1"/>
  <c r="D18" i="1"/>
  <c r="P18" i="1" s="1"/>
  <c r="P17" i="1"/>
  <c r="O16" i="1"/>
  <c r="N16" i="1"/>
  <c r="M16" i="1"/>
  <c r="L16" i="1"/>
  <c r="K16" i="1"/>
  <c r="J16" i="1"/>
  <c r="I16" i="1"/>
  <c r="H16" i="1"/>
  <c r="G16" i="1"/>
  <c r="F16" i="1"/>
  <c r="E16" i="1"/>
  <c r="D16" i="1"/>
  <c r="P16" i="1" s="1"/>
  <c r="O15" i="1"/>
  <c r="N15" i="1"/>
  <c r="M15" i="1"/>
  <c r="L15" i="1"/>
  <c r="K15" i="1"/>
  <c r="J15" i="1"/>
  <c r="I15" i="1"/>
  <c r="H15" i="1"/>
  <c r="G15" i="1"/>
  <c r="F15" i="1"/>
  <c r="E15" i="1"/>
  <c r="D15" i="1"/>
  <c r="P15" i="1" s="1"/>
  <c r="O14" i="1"/>
  <c r="N14" i="1"/>
  <c r="M14" i="1"/>
  <c r="L14" i="1"/>
  <c r="K14" i="1"/>
  <c r="J14" i="1"/>
  <c r="I14" i="1"/>
  <c r="H14" i="1"/>
  <c r="G14" i="1"/>
  <c r="F14" i="1"/>
  <c r="E14" i="1"/>
  <c r="D14" i="1"/>
  <c r="P14" i="1" s="1"/>
  <c r="O13" i="1"/>
  <c r="N13" i="1"/>
  <c r="M13" i="1"/>
  <c r="L13" i="1"/>
  <c r="K13" i="1"/>
  <c r="J13" i="1"/>
  <c r="I13" i="1"/>
  <c r="H13" i="1"/>
  <c r="G13" i="1"/>
  <c r="P13" i="1" s="1"/>
  <c r="O12" i="1"/>
  <c r="N12" i="1"/>
  <c r="M12" i="1"/>
  <c r="L12" i="1"/>
  <c r="K12" i="1"/>
  <c r="J12" i="1"/>
  <c r="I12" i="1"/>
  <c r="H12" i="1"/>
  <c r="G12" i="1"/>
  <c r="F12" i="1"/>
  <c r="E12" i="1"/>
  <c r="D12" i="1"/>
  <c r="P12" i="1" s="1"/>
  <c r="P11" i="1"/>
  <c r="O10" i="1"/>
  <c r="N10" i="1"/>
  <c r="M10" i="1"/>
  <c r="L10" i="1"/>
  <c r="K10" i="1"/>
  <c r="J10" i="1"/>
  <c r="I10" i="1"/>
  <c r="H10" i="1"/>
  <c r="G10" i="1"/>
  <c r="F10" i="1"/>
  <c r="E10" i="1"/>
  <c r="D10" i="1"/>
  <c r="P10" i="1" s="1"/>
  <c r="O9" i="1"/>
  <c r="N9" i="1"/>
  <c r="M9" i="1"/>
  <c r="L9" i="1"/>
  <c r="K9" i="1"/>
  <c r="J9" i="1"/>
  <c r="I9" i="1"/>
  <c r="H9" i="1"/>
  <c r="G9" i="1"/>
  <c r="F9" i="1"/>
  <c r="E9" i="1"/>
  <c r="D9" i="1"/>
  <c r="P9" i="1" s="1"/>
  <c r="P26" i="1" s="1"/>
</calcChain>
</file>

<file path=xl/sharedStrings.xml><?xml version="1.0" encoding="utf-8"?>
<sst xmlns="http://schemas.openxmlformats.org/spreadsheetml/2006/main" count="63" uniqueCount="38">
  <si>
    <t>Water Bills</t>
  </si>
  <si>
    <t>FY25 School Unemployment Costs</t>
  </si>
  <si>
    <t>Rates</t>
  </si>
  <si>
    <t>1-800</t>
  </si>
  <si>
    <t>801-12000</t>
  </si>
  <si>
    <t>12001-999999</t>
  </si>
  <si>
    <t>Address</t>
  </si>
  <si>
    <t>Account#</t>
  </si>
  <si>
    <t>July</t>
  </si>
  <si>
    <t>August</t>
  </si>
  <si>
    <t>Sept</t>
  </si>
  <si>
    <t>Oct</t>
  </si>
  <si>
    <t>Nov</t>
  </si>
  <si>
    <t>Dec</t>
  </si>
  <si>
    <t>Jan</t>
  </si>
  <si>
    <t>Feb</t>
  </si>
  <si>
    <t>Mar</t>
  </si>
  <si>
    <t>April</t>
  </si>
  <si>
    <t>May</t>
  </si>
  <si>
    <t>June</t>
  </si>
  <si>
    <t>Total</t>
  </si>
  <si>
    <t>256 Mountain Ave</t>
  </si>
  <si>
    <t>done</t>
  </si>
  <si>
    <t>43-45 Salem Street</t>
  </si>
  <si>
    <t>39 Holden Street</t>
  </si>
  <si>
    <t>16 Prescott St</t>
  </si>
  <si>
    <t>HS</t>
  </si>
  <si>
    <t>29 Wescott St</t>
  </si>
  <si>
    <t>Linden</t>
  </si>
  <si>
    <t>529 Salem St</t>
  </si>
  <si>
    <t>Salemwood</t>
  </si>
  <si>
    <t>403 Pleasant St</t>
  </si>
  <si>
    <t>Beebe</t>
  </si>
  <si>
    <t>74 Sylvan St</t>
  </si>
  <si>
    <t>Forestdale</t>
  </si>
  <si>
    <t>150 Cross Street</t>
  </si>
  <si>
    <t>Ferryway</t>
  </si>
  <si>
    <t>Grand Total Water/Sewer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</si>
</sst>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right"/>
    </xf>
    <xf numFmtId="43" fontId="0" fillId="0" borderId="0" xfId="1" applyFont="1"/>
    <xf numFmtId="43" fontId="1" fillId="2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alden\School%20Dept\FY12%20EOY\12eoy16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ments"/>
      <sheetName val="eoy12"/>
      <sheetName val="schedule3"/>
      <sheetName val="schools"/>
      <sheetName val="convert"/>
      <sheetName val="data"/>
      <sheetName val="edits"/>
      <sheetName val="reports"/>
      <sheetName val="schedule3_total"/>
      <sheetName val="calcmi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6">
          <cell r="E16">
            <v>1</v>
          </cell>
        </row>
        <row r="29">
          <cell r="E29">
            <v>1337950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7A69C-0524-4FF3-9DF6-8CD6193A2D4E}">
  <sheetPr>
    <tabColor theme="7" tint="0.59999389629810485"/>
    <pageSetUpPr fitToPage="1"/>
  </sheetPr>
  <dimension ref="A1:Q40"/>
  <sheetViews>
    <sheetView tabSelected="1" topLeftCell="A4" zoomScale="125" zoomScaleNormal="125" workbookViewId="0">
      <selection activeCell="P17" sqref="P17"/>
    </sheetView>
  </sheetViews>
  <sheetFormatPr defaultRowHeight="14.4" x14ac:dyDescent="0.3"/>
  <cols>
    <col min="1" max="1" width="17.5546875" customWidth="1"/>
    <col min="3" max="3" width="11.44140625" customWidth="1"/>
    <col min="4" max="4" width="12.44140625" customWidth="1"/>
    <col min="5" max="5" width="10.5546875" bestFit="1" customWidth="1"/>
    <col min="6" max="6" width="9.5546875" bestFit="1" customWidth="1"/>
    <col min="7" max="7" width="10.5546875" bestFit="1" customWidth="1"/>
    <col min="8" max="8" width="11.5546875" bestFit="1" customWidth="1"/>
    <col min="9" max="9" width="12.6640625" bestFit="1" customWidth="1"/>
    <col min="10" max="12" width="10.5546875" bestFit="1" customWidth="1"/>
    <col min="13" max="13" width="12" customWidth="1"/>
    <col min="14" max="14" width="12.6640625" bestFit="1" customWidth="1"/>
    <col min="15" max="15" width="9.5546875" bestFit="1" customWidth="1"/>
    <col min="16" max="16" width="11.5546875" bestFit="1" customWidth="1"/>
  </cols>
  <sheetData>
    <row r="1" spans="1:17" x14ac:dyDescent="0.3">
      <c r="A1" t="s">
        <v>0</v>
      </c>
      <c r="B1" t="s">
        <v>1</v>
      </c>
    </row>
    <row r="2" spans="1:17" x14ac:dyDescent="0.3">
      <c r="A2" t="s">
        <v>2</v>
      </c>
    </row>
    <row r="3" spans="1:17" x14ac:dyDescent="0.3">
      <c r="A3" t="s">
        <v>3</v>
      </c>
      <c r="B3">
        <v>12.13</v>
      </c>
    </row>
    <row r="4" spans="1:17" x14ac:dyDescent="0.3">
      <c r="A4" t="s">
        <v>4</v>
      </c>
      <c r="B4">
        <v>25.43</v>
      </c>
    </row>
    <row r="5" spans="1:17" x14ac:dyDescent="0.3">
      <c r="A5" t="s">
        <v>5</v>
      </c>
      <c r="B5">
        <v>31.98</v>
      </c>
    </row>
    <row r="8" spans="1:17" x14ac:dyDescent="0.3">
      <c r="A8" t="s">
        <v>6</v>
      </c>
      <c r="C8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t="s">
        <v>20</v>
      </c>
    </row>
    <row r="9" spans="1:17" x14ac:dyDescent="0.3">
      <c r="A9" t="s">
        <v>21</v>
      </c>
      <c r="C9">
        <v>8702501</v>
      </c>
      <c r="D9" s="2">
        <f>SUM(800/100*$B$3)+SUM(5456-800)/100*$B$4</f>
        <v>1281.0608</v>
      </c>
      <c r="E9" s="2">
        <f>SUM(800/100*$B$3)+SUM(2051-800)/100*$B$4</f>
        <v>415.16930000000002</v>
      </c>
      <c r="F9" s="2">
        <f>SUM(800/100*$B$3)+SUM(1099-800)/100*$B$4</f>
        <v>173.07570000000001</v>
      </c>
      <c r="G9" s="2">
        <f>SUM(800/100*$B$3)+SUM(2193-800)/100*$B$4</f>
        <v>451.2799</v>
      </c>
      <c r="H9" s="2">
        <f>SUM(800/100*$B$3)+SUM(4147-800)/100*$B$4</f>
        <v>948.18209999999988</v>
      </c>
      <c r="I9" s="2">
        <f>SUM(800/100*$B$3)+SUM(4418-800)/100*$B$4</f>
        <v>1017.0974</v>
      </c>
      <c r="J9" s="2">
        <f>SUM(800/100*$B$3)+SUM(3232-800)/100*$B$4</f>
        <v>715.49759999999992</v>
      </c>
      <c r="K9" s="2">
        <f>SUM(800/100*$B$3)+SUM(3044-800)/100*$B$4</f>
        <v>667.68920000000003</v>
      </c>
      <c r="L9" s="2">
        <f>SUM(800/100*$B$3)+SUM(4232-800)/100*$B$4</f>
        <v>969.79759999999999</v>
      </c>
      <c r="M9" s="2">
        <f>SUM(800/100*$B$3)+SUM(3147-800)/100*$B$4</f>
        <v>693.88209999999992</v>
      </c>
      <c r="N9" s="2">
        <f>SUM(800/100*$B$3)+SUM(4559-800)/100*$B$4</f>
        <v>1052.9537</v>
      </c>
      <c r="O9" s="2">
        <f>SUM(800/100*$B$3)+SUM(3333-800)/100*$B$4</f>
        <v>741.18189999999993</v>
      </c>
      <c r="P9" s="2">
        <f>SUM(D9:O9)</f>
        <v>9126.8672999999981</v>
      </c>
      <c r="Q9" t="s">
        <v>22</v>
      </c>
    </row>
    <row r="10" spans="1:17" x14ac:dyDescent="0.3">
      <c r="A10" t="s">
        <v>23</v>
      </c>
      <c r="C10">
        <v>8805001</v>
      </c>
      <c r="D10" s="2">
        <f>SUM(800/100*$B$3)+SUM(1053-800)/100*$B$4</f>
        <v>161.37790000000001</v>
      </c>
      <c r="E10" s="2">
        <f t="shared" ref="E10:O10" si="0">SUM(800/100*$B$3)+SUM(1053-800)/100*$B$4</f>
        <v>161.37790000000001</v>
      </c>
      <c r="F10" s="2">
        <f t="shared" si="0"/>
        <v>161.37790000000001</v>
      </c>
      <c r="G10" s="2">
        <f t="shared" si="0"/>
        <v>161.37790000000001</v>
      </c>
      <c r="H10" s="2">
        <f t="shared" si="0"/>
        <v>161.37790000000001</v>
      </c>
      <c r="I10" s="2">
        <f t="shared" si="0"/>
        <v>161.37790000000001</v>
      </c>
      <c r="J10" s="2">
        <f t="shared" si="0"/>
        <v>161.37790000000001</v>
      </c>
      <c r="K10" s="2">
        <f t="shared" si="0"/>
        <v>161.37790000000001</v>
      </c>
      <c r="L10" s="2">
        <f t="shared" si="0"/>
        <v>161.37790000000001</v>
      </c>
      <c r="M10" s="2">
        <f t="shared" si="0"/>
        <v>161.37790000000001</v>
      </c>
      <c r="N10" s="2">
        <f t="shared" si="0"/>
        <v>161.37790000000001</v>
      </c>
      <c r="O10" s="2">
        <f t="shared" si="0"/>
        <v>161.37790000000001</v>
      </c>
      <c r="P10" s="2">
        <f t="shared" ref="P10:P24" si="1">SUM(D10:O10)</f>
        <v>1936.5347999999997</v>
      </c>
      <c r="Q10" t="s">
        <v>22</v>
      </c>
    </row>
    <row r="11" spans="1:17" x14ac:dyDescent="0.3">
      <c r="A11" t="s">
        <v>23</v>
      </c>
      <c r="C11">
        <v>8805002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 t="shared" si="1"/>
        <v>0</v>
      </c>
      <c r="Q11" t="s">
        <v>22</v>
      </c>
    </row>
    <row r="12" spans="1:17" x14ac:dyDescent="0.3">
      <c r="A12" t="s">
        <v>24</v>
      </c>
      <c r="C12">
        <v>8822301</v>
      </c>
      <c r="D12" s="2">
        <f>SUM(800/100*$B$3)+SUM(921-800)/100*$B$4</f>
        <v>127.81030000000001</v>
      </c>
      <c r="E12" s="2">
        <f>SUM(520/100*$B$3)</f>
        <v>63.076000000000008</v>
      </c>
      <c r="F12" s="2">
        <f>SUM(800/100*$B$3)+SUM(1611-800)/100*$B$4</f>
        <v>303.27729999999997</v>
      </c>
      <c r="G12" s="2">
        <f>SUM(800/100*$B$3)+SUM(1327-800)/100*$B$4</f>
        <v>231.05610000000001</v>
      </c>
      <c r="H12" s="2">
        <f>SUM(800/100*$B$3)+SUM(921-800)/100*$B$4</f>
        <v>127.81030000000001</v>
      </c>
      <c r="I12" s="2">
        <f>SUM(800/100*$B$3)+SUM(831-800)/100*$B$4</f>
        <v>104.92330000000001</v>
      </c>
      <c r="J12" s="2">
        <f>SUM(566/100*$B$3)</f>
        <v>68.655799999999999</v>
      </c>
      <c r="K12" s="2">
        <f>SUM(798/100*$B$3)</f>
        <v>96.79740000000001</v>
      </c>
      <c r="L12" s="2">
        <f>SUM(800/100*$B$3)+SUM(847-800)/100*$B$4</f>
        <v>108.99210000000001</v>
      </c>
      <c r="M12" s="2">
        <f>SUM(127/100*$B$3)</f>
        <v>15.405100000000001</v>
      </c>
      <c r="N12" s="2">
        <f>SUM(478/100*$B$3)</f>
        <v>57.981400000000008</v>
      </c>
      <c r="O12" s="2">
        <f>SUM(624/100*$B$3)</f>
        <v>75.691200000000009</v>
      </c>
      <c r="P12" s="2">
        <f t="shared" si="1"/>
        <v>1381.4763</v>
      </c>
      <c r="Q12" t="s">
        <v>22</v>
      </c>
    </row>
    <row r="13" spans="1:17" x14ac:dyDescent="0.3">
      <c r="A13" t="s">
        <v>24</v>
      </c>
      <c r="C13">
        <v>8822302</v>
      </c>
      <c r="D13" s="2">
        <v>0</v>
      </c>
      <c r="E13" s="2">
        <v>0</v>
      </c>
      <c r="F13" s="2">
        <v>0</v>
      </c>
      <c r="G13" s="2">
        <f t="shared" ref="G13:O13" si="2">SUM(800/100*$B$3)+SUM(10824-800)/100*$B$4</f>
        <v>2646.1432</v>
      </c>
      <c r="H13" s="2">
        <f t="shared" si="2"/>
        <v>2646.1432</v>
      </c>
      <c r="I13" s="2">
        <f t="shared" si="2"/>
        <v>2646.1432</v>
      </c>
      <c r="J13" s="2">
        <f t="shared" si="2"/>
        <v>2646.1432</v>
      </c>
      <c r="K13" s="2">
        <f t="shared" si="2"/>
        <v>2646.1432</v>
      </c>
      <c r="L13" s="2">
        <f t="shared" si="2"/>
        <v>2646.1432</v>
      </c>
      <c r="M13" s="2">
        <f t="shared" si="2"/>
        <v>2646.1432</v>
      </c>
      <c r="N13" s="2">
        <f t="shared" si="2"/>
        <v>2646.1432</v>
      </c>
      <c r="O13" s="2">
        <f t="shared" si="2"/>
        <v>2646.1432</v>
      </c>
      <c r="P13" s="2">
        <f t="shared" si="1"/>
        <v>23815.288799999998</v>
      </c>
      <c r="Q13" t="s">
        <v>22</v>
      </c>
    </row>
    <row r="14" spans="1:17" x14ac:dyDescent="0.3">
      <c r="A14" t="s">
        <v>25</v>
      </c>
      <c r="C14">
        <v>8823301</v>
      </c>
      <c r="D14" s="2">
        <f>SUM(800/100*$B$3)+SUM(7236-800)/100*$B$4</f>
        <v>1733.7148</v>
      </c>
      <c r="E14" s="2">
        <f>SUM(800/100*$B$3)+SUM(2938-800)/100*$B$4</f>
        <v>640.73339999999996</v>
      </c>
      <c r="F14" s="2">
        <f>SUM(800/100*$B$3)+SUM(5645-800)/100*$B$4</f>
        <v>1329.1234999999999</v>
      </c>
      <c r="G14" s="2">
        <f>SUM(800/100*$B$3)+SUM(3891-800)/100*$B$4</f>
        <v>883.08129999999994</v>
      </c>
      <c r="H14" s="2">
        <f>SUM(800/100*$B$3)+SUM(4110-800)/100*$B$4</f>
        <v>938.77300000000002</v>
      </c>
      <c r="I14" s="2">
        <f>SUM(800/100*$B$3)+SUM(2248-800)/100*$B$4</f>
        <v>465.26640000000003</v>
      </c>
      <c r="J14" s="2">
        <f>SUM(800/100*$B$3)+SUM(1234-800)/100*$B$4</f>
        <v>207.40620000000001</v>
      </c>
      <c r="K14" s="2">
        <f>SUM(800/100*$B$3)+SUM(1897-800)/100*$B$4</f>
        <v>376.00710000000004</v>
      </c>
      <c r="L14" s="2">
        <f>SUM(800/100*$B$3)+SUM(1665-800)/100*$B$4</f>
        <v>317.0095</v>
      </c>
      <c r="M14" s="2">
        <f>SUM(800/100*$B$3)+SUM(1409-800)/100*$B$4</f>
        <v>251.90870000000001</v>
      </c>
      <c r="N14" s="2">
        <f>SUM(800/100*$B$3)+SUM(1783-800)/100*$B$4</f>
        <v>347.01690000000002</v>
      </c>
      <c r="O14" s="2">
        <f>SUM(800/100*$B$3)+SUM(1626-800)/100*$B$4</f>
        <v>307.09179999999998</v>
      </c>
      <c r="P14" s="2">
        <f t="shared" si="1"/>
        <v>7797.1325999999999</v>
      </c>
      <c r="Q14" t="s">
        <v>22</v>
      </c>
    </row>
    <row r="15" spans="1:17" x14ac:dyDescent="0.3">
      <c r="A15" t="s">
        <v>25</v>
      </c>
      <c r="B15" t="s">
        <v>26</v>
      </c>
      <c r="C15">
        <v>8823302</v>
      </c>
      <c r="D15" s="2">
        <f>SUM(800/100*$B$3)+SUM(11727-800)/100*$B$4</f>
        <v>2875.7761</v>
      </c>
      <c r="E15" s="2">
        <f>SUM(800/100*$B$3)+SUM(6195-800)/100*$B$4</f>
        <v>1468.9884999999999</v>
      </c>
      <c r="F15" s="2">
        <f>SUM(800/100*$B$3)+SUM(9047-800)/100*$B$4</f>
        <v>2194.2520999999997</v>
      </c>
      <c r="G15" s="2">
        <f>SUM(800/100*$B$3)+SUM(6967-800)/100*$B$4</f>
        <v>1665.3081</v>
      </c>
      <c r="H15" s="2">
        <f>SUM(800/100*$B$3)+SUM(7836-800)/100*$B$4</f>
        <v>1886.2947999999999</v>
      </c>
      <c r="I15" s="2">
        <f>SUM(800/100*$B$3)+SUM(6023-800)/100*$B$4</f>
        <v>1425.2488999999998</v>
      </c>
      <c r="J15" s="2">
        <f>SUM(800/100*$B$3)+SUM(4207-800)/100*$B$4</f>
        <v>963.44009999999992</v>
      </c>
      <c r="K15" s="2">
        <f>SUM(800/100*$B$3)+SUM(4936-800)/100*$B$4</f>
        <v>1148.8247999999999</v>
      </c>
      <c r="L15" s="2">
        <f>SUM(800/100*$B$3)+SUM(6018-800)/100*$B$4</f>
        <v>1423.9774</v>
      </c>
      <c r="M15" s="2">
        <f>SUM(800/100*$B$3)+SUM(5796-800)/100*$B$4</f>
        <v>1367.5228</v>
      </c>
      <c r="N15" s="2">
        <f>SUM(800/100*$B$3)+SUM(6191-800)/100*$B$4</f>
        <v>1467.9712999999999</v>
      </c>
      <c r="O15" s="2">
        <f>SUM(800/100*$B$3)+SUM(6123-800)/100*$B$4</f>
        <v>1450.6788999999999</v>
      </c>
      <c r="P15" s="2">
        <f t="shared" si="1"/>
        <v>19338.283800000001</v>
      </c>
      <c r="Q15" t="s">
        <v>22</v>
      </c>
    </row>
    <row r="16" spans="1:17" x14ac:dyDescent="0.3">
      <c r="A16" t="s">
        <v>27</v>
      </c>
      <c r="B16" t="s">
        <v>28</v>
      </c>
      <c r="C16">
        <v>4702201</v>
      </c>
      <c r="D16" s="2">
        <f>SUM(800/100*$B$3)+SUM(3718-800)/100*$B$4</f>
        <v>839.0874</v>
      </c>
      <c r="E16" s="2">
        <f>SUM(800/100*$B$3)+SUM(1393-800)/100*$B$4</f>
        <v>247.8399</v>
      </c>
      <c r="F16" s="2">
        <f>SUM(242/100*$B$3)</f>
        <v>29.354600000000001</v>
      </c>
      <c r="G16" s="2">
        <f>SUM(522/100*$B$3)</f>
        <v>63.318600000000004</v>
      </c>
      <c r="H16" s="2">
        <f>SUM(800/100*$B$3)+SUM(3766-800)/100*$B$4</f>
        <v>851.29379999999992</v>
      </c>
      <c r="I16" s="2">
        <f>SUM(800/100*$B$3)+SUM(3646-800)/100*$B$4</f>
        <v>820.77779999999996</v>
      </c>
      <c r="J16" s="2">
        <f>SUM(800/100*$B$3)+SUM(2353-800)/100*$B$4</f>
        <v>491.96789999999999</v>
      </c>
      <c r="K16" s="2">
        <f>SUM(800/100*$B$3)+SUM(4845-800)/100*$B$4</f>
        <v>1125.6835000000001</v>
      </c>
      <c r="L16" s="2">
        <f>SUM(800/100*$B$3)+SUM(2831-800)/100*$B$4</f>
        <v>613.52329999999995</v>
      </c>
      <c r="M16" s="2">
        <f>SUM(800/100*$B$3)+SUM(2091-800)/100*$B$4</f>
        <v>425.34130000000005</v>
      </c>
      <c r="N16" s="2">
        <f>SUM(800/100*$B$3)+SUM(3346-800)/100*$B$4</f>
        <v>744.48779999999999</v>
      </c>
      <c r="O16" s="2">
        <f>SUM(800/100*$B$3)+SUM(2696-800)/100*$B$4</f>
        <v>579.19280000000003</v>
      </c>
      <c r="P16" s="2">
        <f t="shared" si="1"/>
        <v>6831.8687</v>
      </c>
      <c r="Q16" t="s">
        <v>22</v>
      </c>
    </row>
    <row r="17" spans="1:17" x14ac:dyDescent="0.3">
      <c r="A17" t="s">
        <v>27</v>
      </c>
      <c r="B17" t="s">
        <v>28</v>
      </c>
      <c r="C17">
        <v>4702202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 t="shared" si="1"/>
        <v>0</v>
      </c>
      <c r="Q17" t="s">
        <v>22</v>
      </c>
    </row>
    <row r="18" spans="1:17" x14ac:dyDescent="0.3">
      <c r="A18" t="s">
        <v>29</v>
      </c>
      <c r="B18" t="s">
        <v>30</v>
      </c>
      <c r="C18">
        <v>7201201</v>
      </c>
      <c r="D18" s="2">
        <f>SUM(800/100*$B$3)+SUM(2874-800)/100*$B$4</f>
        <v>624.45819999999992</v>
      </c>
      <c r="E18" s="2">
        <f>SUM(800/100*$B$3)+SUM(3017-800)/100*$B$4</f>
        <v>660.82309999999995</v>
      </c>
      <c r="F18" s="2">
        <f>SUM(800/100*$B$3)+SUM(3093-800)/100*$B$4</f>
        <v>680.1499</v>
      </c>
      <c r="G18" s="2">
        <f>SUM(800/100*$B$3)+SUM(3333-800)/100*$B$4</f>
        <v>741.18189999999993</v>
      </c>
      <c r="H18" s="2">
        <f>SUM(800/100*$B$3)+SUM(3595-800)/100*$B$4</f>
        <v>807.80849999999998</v>
      </c>
      <c r="I18" s="2">
        <f>SUM(800/100*$B$3)+SUM(3631-800)/100*$B$4</f>
        <v>816.96329999999989</v>
      </c>
      <c r="J18" s="2">
        <f>SUM(800/100*$B$3)+SUM(3623-800)/100*$B$4</f>
        <v>814.9289</v>
      </c>
      <c r="K18" s="2">
        <f>SUM(800/100*$B$3)+SUM(3685-800)/100*$B$4</f>
        <v>830.69550000000004</v>
      </c>
      <c r="L18" s="2">
        <f>SUM(800/100*$B$3)+SUM(3794-800)/100*$B$4</f>
        <v>858.41419999999994</v>
      </c>
      <c r="M18" s="2">
        <f>SUM(800/100*$B$3)+SUM(3794-800)/100*$B$4</f>
        <v>858.41419999999994</v>
      </c>
      <c r="N18" s="2">
        <f>SUM(800/100*$B$3)+SUM(3902-800)/100*$B$4</f>
        <v>885.87859999999989</v>
      </c>
      <c r="O18" s="2">
        <f>SUM(800/100*$B$3)+SUM(4017-800)/100*$B$4</f>
        <v>915.12310000000002</v>
      </c>
      <c r="P18" s="2">
        <f t="shared" si="1"/>
        <v>9494.8394000000008</v>
      </c>
      <c r="Q18" t="s">
        <v>22</v>
      </c>
    </row>
    <row r="19" spans="1:17" x14ac:dyDescent="0.3">
      <c r="A19" t="s">
        <v>29</v>
      </c>
      <c r="B19" t="s">
        <v>30</v>
      </c>
      <c r="C19">
        <v>7201202</v>
      </c>
      <c r="D19" s="2">
        <v>0</v>
      </c>
      <c r="E19" s="2">
        <v>0</v>
      </c>
      <c r="F19" s="2">
        <v>0</v>
      </c>
      <c r="G19" s="2">
        <v>0</v>
      </c>
      <c r="H19" s="2"/>
      <c r="I19" s="2"/>
      <c r="J19" s="2"/>
      <c r="K19" s="2"/>
      <c r="L19" s="2"/>
      <c r="M19" s="2"/>
      <c r="N19" s="2"/>
      <c r="O19" s="2"/>
      <c r="P19" s="2">
        <f t="shared" si="1"/>
        <v>0</v>
      </c>
      <c r="Q19" t="s">
        <v>22</v>
      </c>
    </row>
    <row r="20" spans="1:17" x14ac:dyDescent="0.3">
      <c r="A20" t="s">
        <v>31</v>
      </c>
      <c r="B20" t="s">
        <v>32</v>
      </c>
      <c r="C20">
        <v>12028201</v>
      </c>
      <c r="D20" s="2">
        <f>SUM(800/100*$B$3)+SUM(6537-800)/100*$B$4</f>
        <v>1555.9590999999998</v>
      </c>
      <c r="E20" s="2">
        <f>SUM(800/100*$B$3)+SUM(3363-800)/100*$B$4</f>
        <v>748.81089999999995</v>
      </c>
      <c r="F20" s="2">
        <f>SUM(474/100*$B$3)</f>
        <v>57.496200000000009</v>
      </c>
      <c r="G20" s="2">
        <f>SUM(800/100*$B$3)+SUM(1119-800)/100*$B$4</f>
        <v>178.1617</v>
      </c>
      <c r="H20" s="2">
        <f>SUM(800/100*$B$3)+SUM(7261-800)/100*$B$4</f>
        <v>1740.0723</v>
      </c>
      <c r="I20" s="2">
        <f>SUM(800/100*$B$3)+SUM(6375-800)/100*$B$4</f>
        <v>1514.7625</v>
      </c>
      <c r="J20" s="2">
        <f>SUM(800/100*$B$3)+SUM(4855-800)/100*$B$4</f>
        <v>1128.2265</v>
      </c>
      <c r="K20" s="2">
        <f>SUM(800/100*$B$3)+SUM(4839-800)/100*$B$4</f>
        <v>1124.1577</v>
      </c>
      <c r="L20" s="2">
        <f>SUM(800/100*$B$3)+SUM(6097-800)/100*$B$4</f>
        <v>1444.0671</v>
      </c>
      <c r="M20" s="2">
        <f>SUM(800/100*$B$3)+SUM(4396-800)/100*$B$4</f>
        <v>1011.5028</v>
      </c>
      <c r="N20" s="2">
        <f>SUM(800/100*$B$3)+SUM(6582-800)/100*$B$4</f>
        <v>1567.4025999999999</v>
      </c>
      <c r="O20" s="2">
        <f>SUM(800/100*$B$3)+SUM(5972-800)/100*$B$4</f>
        <v>1412.2795999999998</v>
      </c>
      <c r="P20" s="2">
        <f t="shared" si="1"/>
        <v>13482.898999999998</v>
      </c>
      <c r="Q20" t="s">
        <v>22</v>
      </c>
    </row>
    <row r="21" spans="1:17" x14ac:dyDescent="0.3">
      <c r="A21" t="s">
        <v>31</v>
      </c>
      <c r="B21" t="s">
        <v>32</v>
      </c>
      <c r="C21">
        <v>12028202</v>
      </c>
      <c r="D21" s="2">
        <f>SUM(800/100*$B$3)+SUM(2584-800)/100*$B$4</f>
        <v>550.71119999999996</v>
      </c>
      <c r="E21" s="2">
        <f>SUM(800/100*$B$3)+SUM(1302-800)/100*$B$4</f>
        <v>224.6986</v>
      </c>
      <c r="F21" s="2">
        <f>SUM(45/100*$B$3)</f>
        <v>5.4585000000000008</v>
      </c>
      <c r="G21" s="2">
        <f>SUM(450/100*$B$3)</f>
        <v>54.585000000000001</v>
      </c>
      <c r="H21" s="2">
        <f>SUM(800/100*$B$3)+SUM(2678-800)/100*$B$4</f>
        <v>574.61540000000002</v>
      </c>
      <c r="I21" s="2">
        <f>SUM(800/100*$B$3)+SUM(2544-800)/100*$B$4</f>
        <v>540.53920000000005</v>
      </c>
      <c r="J21" s="2">
        <f>SUM(800/100*$B$3)+SUM(2070-800)/100*$B$4</f>
        <v>420.00099999999998</v>
      </c>
      <c r="K21" s="2">
        <f>SUM(800/100*$B$3)+SUM(1949-800)/100*$B$4</f>
        <v>389.23070000000001</v>
      </c>
      <c r="L21" s="2">
        <f>SUM(800/100*$B$3)+SUM(2515-800)/100*$B$4</f>
        <v>533.16449999999998</v>
      </c>
      <c r="M21" s="2">
        <f>SUM(800/100*$B$3)+SUM(1898-800)/100*$B$4</f>
        <v>376.26140000000004</v>
      </c>
      <c r="N21" s="2">
        <f>SUM(800/100*$B$3)+SUM(2571-800)/100*$B$4</f>
        <v>547.40530000000001</v>
      </c>
      <c r="O21" s="2">
        <f>SUM(800/100*$B$3)+SUM(1921-800)/100*$B$4</f>
        <v>382.11030000000005</v>
      </c>
      <c r="P21" s="2">
        <f t="shared" si="1"/>
        <v>4598.7811000000002</v>
      </c>
      <c r="Q21" t="s">
        <v>22</v>
      </c>
    </row>
    <row r="22" spans="1:17" x14ac:dyDescent="0.3">
      <c r="A22" t="s">
        <v>33</v>
      </c>
      <c r="B22" t="s">
        <v>34</v>
      </c>
      <c r="C22">
        <v>6334701</v>
      </c>
      <c r="D22" s="2">
        <f>SUM(800/100*$B$3)+SUM(9435-800)/100*$B$4</f>
        <v>2292.9204999999997</v>
      </c>
      <c r="E22" s="2">
        <f>SUM(800/100*$B$3)+SUM(12000-800)/100*$B$4+(16054-12000)/100*$B$5</f>
        <v>4241.6692000000003</v>
      </c>
      <c r="F22" s="2">
        <f>SUM(800/100*$B$3)+SUM(12000-800)/100*$B$4+(14281-12000)/100*$B$5</f>
        <v>3674.6637999999998</v>
      </c>
      <c r="G22" s="2">
        <f>SUM(800/100*$B$3)+SUM(1992-800)/100*$B$4</f>
        <v>400.16560000000004</v>
      </c>
      <c r="H22" s="2">
        <f>SUM(800/100*$B$3)+SUM(6926-800)/100*$B$4</f>
        <v>1654.8817999999999</v>
      </c>
      <c r="I22" s="2">
        <f>SUM(800/100*$B$3)+SUM(7625-800)/100*$B$4</f>
        <v>1832.6375</v>
      </c>
      <c r="J22" s="2">
        <f>SUM(800/100*$B$3)+SUM(5956-800)/100*$B$4</f>
        <v>1408.2108000000001</v>
      </c>
      <c r="K22" s="2">
        <f>SUM(800/100*$B$3)+SUM(5635-800)/100*$B$4</f>
        <v>1326.5805</v>
      </c>
      <c r="L22" s="2">
        <f>SUM(800/100*$B$3)+SUM(7061-800)/100*$B$4</f>
        <v>1689.2122999999999</v>
      </c>
      <c r="M22" s="2">
        <f>SUM(800/100*$B$3)+SUM(4868-800)/100*$B$4</f>
        <v>1131.5324000000001</v>
      </c>
      <c r="N22" s="2">
        <f>SUM(800/100*$B$3)+SUM(7127-800)/100*$B$4</f>
        <v>1705.9961000000001</v>
      </c>
      <c r="O22" s="2">
        <f>SUM(800/100*$B$3)+SUM(5458-800)/100*$B$4</f>
        <v>1281.5693999999999</v>
      </c>
      <c r="P22" s="2">
        <f t="shared" si="1"/>
        <v>22640.039900000003</v>
      </c>
      <c r="Q22" t="s">
        <v>22</v>
      </c>
    </row>
    <row r="23" spans="1:17" x14ac:dyDescent="0.3">
      <c r="A23" t="s">
        <v>33</v>
      </c>
      <c r="B23" t="s">
        <v>34</v>
      </c>
      <c r="C23">
        <v>6334702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f t="shared" si="1"/>
        <v>0</v>
      </c>
    </row>
    <row r="24" spans="1:17" x14ac:dyDescent="0.3">
      <c r="A24" t="s">
        <v>35</v>
      </c>
      <c r="B24" t="s">
        <v>36</v>
      </c>
      <c r="C24">
        <v>1905201</v>
      </c>
      <c r="D24" s="2">
        <f>SUM(800/100*$B$3)+SUM(11172-800)/100*$B$4</f>
        <v>2734.6396</v>
      </c>
      <c r="E24" s="2">
        <f>SUM(800/100*$B$3)+SUM(5176-800)/100*$B$4</f>
        <v>1209.8567999999998</v>
      </c>
      <c r="F24" s="2">
        <f>SUM(800/100*$B$3)+SUM(3211-800)/100*$B$4</f>
        <v>710.15729999999996</v>
      </c>
      <c r="G24" s="2">
        <f>SUM(800/100*$B$3)+SUM(1801-800)/100*$B$4</f>
        <v>351.59429999999998</v>
      </c>
      <c r="H24" s="2">
        <f>SUM(800/100*$B$3)+SUM(10903-800)/100*$B$4</f>
        <v>2666.2329</v>
      </c>
      <c r="I24" s="2">
        <f>SUM(800/100*$B$3)+SUM(12000-800)/100*$B$4+(31379-12000)/100*$B$5</f>
        <v>9142.6041999999998</v>
      </c>
      <c r="J24" s="2">
        <f>SUM(800/100*$B$3)+SUM(7619-800)/100*$B$4</f>
        <v>1831.1116999999999</v>
      </c>
      <c r="K24" s="2">
        <f>SUM(800/100*$B$3)+SUM(7274-800)/100*$B$4</f>
        <v>1743.3781999999999</v>
      </c>
      <c r="L24" s="2">
        <f>SUM(800/100*$B$3)+SUM(9643-800)/100*$B$4</f>
        <v>2345.8149000000003</v>
      </c>
      <c r="M24" s="2">
        <f>SUM(800/100*$B$3)+SUM(6747-800)/100*$B$4</f>
        <v>1609.3620999999998</v>
      </c>
      <c r="N24" s="2">
        <f>SUM(800/100*$B$3)+SUM(10247-800)/100*$B$4</f>
        <v>2499.4121</v>
      </c>
      <c r="O24" s="2">
        <f>SUM(800/100*$B$3)+SUM(8129-800)/100*$B$4</f>
        <v>1960.8047000000001</v>
      </c>
      <c r="P24" s="2">
        <f t="shared" si="1"/>
        <v>28804.968800000002</v>
      </c>
      <c r="Q24" t="s">
        <v>22</v>
      </c>
    </row>
    <row r="25" spans="1:17" x14ac:dyDescent="0.3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x14ac:dyDescent="0.3">
      <c r="A26" t="s">
        <v>37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3">
        <f>SUM(P9:P25)</f>
        <v>149248.98050000001</v>
      </c>
    </row>
    <row r="27" spans="1:17" x14ac:dyDescent="0.3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 x14ac:dyDescent="0.3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7" x14ac:dyDescent="0.3"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7" x14ac:dyDescent="0.3"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7" x14ac:dyDescent="0.3"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7" x14ac:dyDescent="0.3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4:16" x14ac:dyDescent="0.3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4:16" x14ac:dyDescent="0.3"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4:16" x14ac:dyDescent="0.3"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4:16" x14ac:dyDescent="0.3"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4:16" x14ac:dyDescent="0.3"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4:16" x14ac:dyDescent="0.3"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4:16" x14ac:dyDescent="0.3"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4:16" x14ac:dyDescent="0.3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</sheetData>
  <pageMargins left="0.7" right="0.7" top="0.75" bottom="0.75" header="0.3" footer="0.3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 Bills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Gargano</dc:creator>
  <cp:lastModifiedBy>Paul Gargano</cp:lastModifiedBy>
  <dcterms:created xsi:type="dcterms:W3CDTF">2026-03-23T15:09:21Z</dcterms:created>
  <dcterms:modified xsi:type="dcterms:W3CDTF">2026-03-23T15:09:40Z</dcterms:modified>
</cp:coreProperties>
</file>